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535" windowHeight="123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<sst xmlns="http://schemas.openxmlformats.org/spreadsheetml/2006/main" count="51" uniqueCount="34">
  <si>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层数</t>
  </si>
  <si>
    <t>23+2</t>
  </si>
  <si>
    <t>应设套数</t>
  </si>
  <si>
    <t>A(24层)</t>
  </si>
  <si>
    <t>B(24层)</t>
  </si>
  <si>
    <t>户型</t>
  </si>
  <si>
    <t>10#           (单位:套)</t>
  </si>
  <si>
    <t>11#           (单位:套)</t>
  </si>
  <si>
    <t>总计(套)</t>
  </si>
  <si>
    <t>套数比</t>
  </si>
  <si>
    <t>面积</t>
  </si>
  <si>
    <t>3-26层</t>
  </si>
  <si>
    <t>3-25层</t>
  </si>
  <si>
    <t>3-11层</t>
  </si>
  <si>
    <t>公寓合计</t>
  </si>
  <si>
    <t>公寓总建筑面积</t>
  </si>
  <si>
    <t>㎡</t>
  </si>
  <si>
    <t>其中</t>
  </si>
  <si>
    <t>公寓面积</t>
  </si>
  <si>
    <t>首二层配套</t>
  </si>
  <si>
    <t>商业</t>
  </si>
  <si>
    <t>通信设施设备间</t>
  </si>
  <si>
    <t>托老所</t>
  </si>
  <si>
    <t>托儿所</t>
  </si>
  <si>
    <t>消控室</t>
  </si>
  <si>
    <t>公共服务与首层屋顶核心筒</t>
  </si>
  <si>
    <t>首二层公共空间与交通空间</t>
  </si>
  <si>
    <t>规划指标</t>
  </si>
  <si>
    <t>建筑面积</t>
  </si>
  <si>
    <t>31#（23+2F）          (单位:套)</t>
  </si>
  <si>
    <t>30#（22+2F）          (单位:套)</t>
  </si>
  <si>
    <t>首二层核心筒</t>
  </si>
  <si>
    <t>屋顶核心筒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</si>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</sst>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sz val="8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/>
  </cellStyleXfs>
  <cellXfs count="36">
    <xf numFmtId="0" fontId="0" fillId="0" borderId="0" xfId="0">
      <alignment vertical="center"/>
    </xf>
    <xf numFmtId="176" fontId="1" fillId="2" borderId="1" xfId="49" applyNumberFormat="1" applyFont="1" applyFill="1" applyBorder="1" applyAlignment="1">
      <alignment horizontal="left" vertical="center"/>
    </xf>
    <xf numFmtId="177" fontId="1" fillId="2" borderId="1" xfId="49" applyNumberFormat="1" applyFont="1" applyFill="1" applyBorder="1" applyAlignment="1">
      <alignment horizontal="right" vertical="center"/>
    </xf>
    <xf numFmtId="176" fontId="2" fillId="2" borderId="1" xfId="49" applyNumberFormat="1" applyFont="1" applyFill="1" applyBorder="1" applyAlignment="1">
      <alignment horizontal="center" vertical="center"/>
    </xf>
    <xf numFmtId="176" fontId="2" fillId="2" borderId="2" xfId="49" applyNumberFormat="1" applyFont="1" applyFill="1" applyBorder="1" applyAlignment="1">
      <alignment horizontal="right" vertical="center"/>
    </xf>
    <xf numFmtId="176" fontId="2" fillId="2" borderId="1" xfId="49" applyNumberFormat="1" applyFont="1" applyFill="1" applyBorder="1" applyAlignment="1">
      <alignment horizontal="left" vertical="center"/>
    </xf>
    <xf numFmtId="177" fontId="2" fillId="3" borderId="1" xfId="49" applyNumberFormat="1" applyFont="1" applyFill="1" applyBorder="1" applyAlignment="1">
      <alignment horizontal="right" vertical="center"/>
    </xf>
    <xf numFmtId="9" fontId="2" fillId="2" borderId="2" xfId="3" applyFont="1" applyFill="1" applyBorder="1" applyAlignment="1">
      <alignment horizontal="right" vertical="center"/>
    </xf>
    <xf numFmtId="177" fontId="2" fillId="2" borderId="1" xfId="49" applyNumberFormat="1" applyFont="1" applyFill="1" applyBorder="1" applyAlignment="1">
      <alignment horizontal="right" vertical="center"/>
    </xf>
    <xf numFmtId="0" fontId="3" fillId="2" borderId="2" xfId="49" applyFont="1" applyFill="1" applyBorder="1" applyAlignment="1">
      <alignment horizontal="right" vertical="center"/>
    </xf>
    <xf numFmtId="176" fontId="3" fillId="2" borderId="2" xfId="49" applyNumberFormat="1" applyFont="1" applyFill="1" applyBorder="1" applyAlignment="1">
      <alignment horizontal="right" vertical="center"/>
    </xf>
    <xf numFmtId="176" fontId="2" fillId="2" borderId="3" xfId="49" applyNumberFormat="1" applyFont="1" applyFill="1" applyBorder="1" applyAlignment="1">
      <alignment horizontal="left" vertical="center"/>
    </xf>
    <xf numFmtId="176" fontId="2" fillId="2" borderId="4" xfId="49" applyNumberFormat="1" applyFont="1" applyFill="1" applyBorder="1" applyAlignment="1">
      <alignment horizontal="left" vertical="center"/>
    </xf>
    <xf numFmtId="10" fontId="3" fillId="2" borderId="2" xfId="49" applyNumberFormat="1" applyFont="1" applyFill="1" applyBorder="1" applyAlignment="1">
      <alignment horizontal="right" vertical="center" wrapText="1"/>
    </xf>
    <xf numFmtId="176" fontId="3" fillId="2" borderId="2" xfId="49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>
      <alignment vertical="center"/>
    </xf>
    <xf numFmtId="0" fontId="0" fillId="0" borderId="1" xfId="0" applyFill="1" applyBorder="1" applyAlignment="1"/>
    <xf numFmtId="0" fontId="4" fillId="0" borderId="1" xfId="0" applyFont="1" applyFill="1" applyBorder="1" applyAlignment="1"/>
    <xf numFmtId="177" fontId="0" fillId="0" borderId="0" xfId="0" applyNumberFormat="1">
      <alignment vertical="center"/>
    </xf>
    <xf numFmtId="0" fontId="4" fillId="0" borderId="5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6"/>
  <sheetViews>
    <sheetView workbookViewId="0">
      <selection activeCell="G14" sqref="G14"/>
    </sheetView>
  </sheetViews>
  <sheetFormatPr defaultColWidth="9" defaultRowHeight="13.5" outlineLevelRow="5"/>
  <sheetData>
    <row r="1" spans="1:9">
      <c r="A1" s="29"/>
      <c r="B1" s="30"/>
      <c r="C1" s="30"/>
      <c r="D1" s="31" t="s">
        <v>0</v>
      </c>
      <c r="E1" s="31" t="s">
        <v>1</v>
      </c>
      <c r="F1" s="31" t="s">
        <v>1</v>
      </c>
      <c r="G1" s="30"/>
      <c r="H1" s="30"/>
      <c r="I1" s="30"/>
    </row>
    <row r="2" ht="40.5" spans="1:9">
      <c r="A2" s="32" t="s">
        <v>2</v>
      </c>
      <c r="B2" s="17" t="s">
        <v>3</v>
      </c>
      <c r="C2" s="17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17" t="s">
        <v>10</v>
      </c>
    </row>
    <row r="3" spans="1:9">
      <c r="A3" s="33">
        <v>168</v>
      </c>
      <c r="B3" s="34" t="s">
        <v>11</v>
      </c>
      <c r="C3" s="34" t="s">
        <v>12</v>
      </c>
      <c r="D3" s="34">
        <v>35</v>
      </c>
      <c r="E3" s="34">
        <v>69</v>
      </c>
      <c r="F3" s="34">
        <v>97</v>
      </c>
      <c r="G3" s="34">
        <f>E3+F3</f>
        <v>166</v>
      </c>
      <c r="H3" s="35">
        <f>G3/G6</f>
        <v>0.350210970464135</v>
      </c>
      <c r="I3" s="30" t="e">
        <f>G3*#REF!</f>
        <v>#REF!</v>
      </c>
    </row>
    <row r="4" spans="1:9">
      <c r="A4" s="33">
        <v>336</v>
      </c>
      <c r="B4" s="34" t="s">
        <v>11</v>
      </c>
      <c r="C4" s="34" t="s">
        <v>12</v>
      </c>
      <c r="D4" s="34">
        <v>45</v>
      </c>
      <c r="E4" s="34">
        <v>138</v>
      </c>
      <c r="F4" s="34">
        <v>138</v>
      </c>
      <c r="G4" s="34">
        <f>E4+F4</f>
        <v>276</v>
      </c>
      <c r="H4" s="35">
        <f>G4/G6</f>
        <v>0.582278481012658</v>
      </c>
      <c r="I4" s="30" t="e">
        <f>G4*#REF!</f>
        <v>#REF!</v>
      </c>
    </row>
    <row r="5" spans="1:9">
      <c r="A5" s="33">
        <v>36</v>
      </c>
      <c r="B5" s="34" t="s">
        <v>11</v>
      </c>
      <c r="C5" s="34" t="s">
        <v>13</v>
      </c>
      <c r="D5" s="34">
        <v>69</v>
      </c>
      <c r="E5" s="34">
        <v>23</v>
      </c>
      <c r="F5" s="34">
        <v>9</v>
      </c>
      <c r="G5" s="34">
        <f>E5+F5</f>
        <v>32</v>
      </c>
      <c r="H5" s="35">
        <f>G5/G6</f>
        <v>0.0675105485232067</v>
      </c>
      <c r="I5" s="30" t="e">
        <f>G5*#REF!</f>
        <v>#REF!</v>
      </c>
    </row>
    <row r="6" spans="1:9">
      <c r="A6" s="29"/>
      <c r="B6" s="30"/>
      <c r="C6" s="30"/>
      <c r="D6" s="30"/>
      <c r="E6" s="30"/>
      <c r="F6" s="30" t="s">
        <v>14</v>
      </c>
      <c r="G6" s="30">
        <f t="shared" ref="G6:I6" si="0">SUM(G3:G5)</f>
        <v>474</v>
      </c>
      <c r="H6" s="35">
        <f t="shared" si="0"/>
        <v>1</v>
      </c>
      <c r="I6" s="30" t="e">
        <f t="shared" si="0"/>
        <v>#REF!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9"/>
  <sheetViews>
    <sheetView tabSelected="1" workbookViewId="0">
      <selection activeCell="F11" sqref="F11"/>
    </sheetView>
  </sheetViews>
  <sheetFormatPr defaultColWidth="9" defaultRowHeight="13.5"/>
  <cols>
    <col min="4" max="4" width="17.5" customWidth="1"/>
    <col min="5" max="5" width="14.5" customWidth="1"/>
    <col min="6" max="6" width="16.125" customWidth="1"/>
    <col min="7" max="7" width="10.625" customWidth="1"/>
    <col min="10" max="10" width="10.5" customWidth="1"/>
  </cols>
  <sheetData>
    <row r="1" ht="16.5" spans="1:7">
      <c r="A1" s="1" t="s">
        <v>15</v>
      </c>
      <c r="B1" s="1"/>
      <c r="C1" s="1"/>
      <c r="D1" s="1"/>
      <c r="E1" s="2">
        <f>E2+E3</f>
        <v>24162.23</v>
      </c>
      <c r="F1" s="3" t="s">
        <v>16</v>
      </c>
      <c r="G1" s="4"/>
    </row>
    <row r="2" ht="16.5" spans="1:7">
      <c r="A2" s="3" t="s">
        <v>17</v>
      </c>
      <c r="B2" s="5" t="s">
        <v>18</v>
      </c>
      <c r="C2" s="5"/>
      <c r="D2" s="5"/>
      <c r="E2" s="6">
        <f>E11-E3</f>
        <v>22095.6</v>
      </c>
      <c r="F2" s="3" t="s">
        <v>16</v>
      </c>
      <c r="G2" s="7"/>
    </row>
    <row r="3" ht="16.5" spans="1:9">
      <c r="A3" s="3"/>
      <c r="B3" s="5" t="s">
        <v>19</v>
      </c>
      <c r="C3" s="5"/>
      <c r="D3" s="5"/>
      <c r="E3" s="8">
        <f>SUM(E4:E9)</f>
        <v>2066.63</v>
      </c>
      <c r="F3" s="3" t="s">
        <v>16</v>
      </c>
      <c r="G3" s="9"/>
      <c r="I3">
        <f>SUM(I4:I9)</f>
        <v>1564.16</v>
      </c>
    </row>
    <row r="4" ht="16.5" spans="1:9">
      <c r="A4" s="3"/>
      <c r="B4" s="3" t="s">
        <v>17</v>
      </c>
      <c r="C4" s="5" t="s">
        <v>20</v>
      </c>
      <c r="D4" s="5"/>
      <c r="E4" s="8">
        <f>200</f>
        <v>200</v>
      </c>
      <c r="F4" s="3" t="s">
        <v>16</v>
      </c>
      <c r="G4" s="10"/>
      <c r="I4">
        <f>172+36.38</f>
        <v>208.38</v>
      </c>
    </row>
    <row r="5" ht="16.5" spans="1:9">
      <c r="A5" s="3"/>
      <c r="B5" s="3"/>
      <c r="C5" s="11" t="s">
        <v>21</v>
      </c>
      <c r="D5" s="12"/>
      <c r="E5" s="8">
        <v>8</v>
      </c>
      <c r="F5" s="3" t="s">
        <v>16</v>
      </c>
      <c r="G5" s="13"/>
      <c r="I5">
        <v>9.45</v>
      </c>
    </row>
    <row r="6" ht="16.5" spans="1:9">
      <c r="A6" s="3"/>
      <c r="B6" s="3"/>
      <c r="C6" s="11" t="s">
        <v>22</v>
      </c>
      <c r="D6" s="12"/>
      <c r="E6" s="8">
        <v>750</v>
      </c>
      <c r="F6" s="3" t="s">
        <v>16</v>
      </c>
      <c r="G6" s="13"/>
      <c r="I6">
        <f>288.71+47.53+45.69+412.69</f>
        <v>794.62</v>
      </c>
    </row>
    <row r="7" ht="16.5" spans="1:9">
      <c r="A7" s="3"/>
      <c r="B7" s="3"/>
      <c r="C7" s="11" t="s">
        <v>23</v>
      </c>
      <c r="D7" s="12"/>
      <c r="E7" s="8">
        <v>200</v>
      </c>
      <c r="F7" s="3" t="s">
        <v>16</v>
      </c>
      <c r="G7" s="13"/>
      <c r="I7">
        <f>67.73+142.73</f>
        <v>210.46</v>
      </c>
    </row>
    <row r="8" ht="16.5" spans="1:9">
      <c r="A8" s="3"/>
      <c r="B8" s="3"/>
      <c r="C8" s="5" t="s">
        <v>24</v>
      </c>
      <c r="D8" s="5"/>
      <c r="E8" s="8">
        <v>71.29</v>
      </c>
      <c r="F8" s="3" t="s">
        <v>16</v>
      </c>
      <c r="G8" s="10"/>
      <c r="I8">
        <v>71.29</v>
      </c>
    </row>
    <row r="9" ht="16.5" spans="1:9">
      <c r="A9" s="3"/>
      <c r="B9" s="3"/>
      <c r="C9" s="5" t="s">
        <v>25</v>
      </c>
      <c r="D9" s="5"/>
      <c r="E9" s="6">
        <f>I4-E4+I5-E5+I6-E6+I7-E7+I9+48.01+36.38+K13+K14</f>
        <v>837.34</v>
      </c>
      <c r="F9" s="3" t="s">
        <v>16</v>
      </c>
      <c r="G9" s="14" t="s">
        <v>26</v>
      </c>
      <c r="I9">
        <f>412.69-142.73</f>
        <v>269.96</v>
      </c>
    </row>
    <row r="11" spans="4:5">
      <c r="D11" t="s">
        <v>27</v>
      </c>
      <c r="E11">
        <f>58871.23-35233-118-308+950</f>
        <v>24162.23</v>
      </c>
    </row>
    <row r="12" spans="1:3">
      <c r="A12" s="15"/>
      <c r="B12" s="15"/>
      <c r="C12" s="15"/>
    </row>
    <row r="13" ht="27" spans="1:11">
      <c r="A13" s="16"/>
      <c r="B13" s="16"/>
      <c r="C13" s="17" t="s">
        <v>5</v>
      </c>
      <c r="D13" s="17" t="s">
        <v>28</v>
      </c>
      <c r="E13" s="17" t="s">
        <v>29</v>
      </c>
      <c r="F13" s="17" t="s">
        <v>30</v>
      </c>
      <c r="G13" s="17" t="s">
        <v>8</v>
      </c>
      <c r="H13" s="17" t="s">
        <v>9</v>
      </c>
      <c r="I13" s="17" t="s">
        <v>10</v>
      </c>
      <c r="J13" s="25" t="s">
        <v>31</v>
      </c>
      <c r="K13" s="25">
        <f>81.53*4</f>
        <v>326.12</v>
      </c>
    </row>
    <row r="14" spans="1:11">
      <c r="A14" s="18"/>
      <c r="B14" s="18"/>
      <c r="C14" s="19">
        <v>35</v>
      </c>
      <c r="D14" s="19">
        <v>35.96</v>
      </c>
      <c r="E14" s="19">
        <v>69</v>
      </c>
      <c r="F14" s="19">
        <v>66</v>
      </c>
      <c r="G14" s="19">
        <f t="shared" ref="G14:G16" si="0">E14+F14</f>
        <v>135</v>
      </c>
      <c r="H14" s="20">
        <f>G14/G17</f>
        <v>0.272727272727273</v>
      </c>
      <c r="I14" s="26">
        <v>4854.528</v>
      </c>
      <c r="J14" s="25" t="s">
        <v>32</v>
      </c>
      <c r="K14">
        <f>(14.23*2+11.52+6)*2</f>
        <v>91.96</v>
      </c>
    </row>
    <row r="15" spans="1:9">
      <c r="A15" s="18"/>
      <c r="B15" s="18"/>
      <c r="C15" s="19">
        <v>45</v>
      </c>
      <c r="D15" s="19">
        <f>43.71+0.99</f>
        <v>44.7</v>
      </c>
      <c r="E15" s="19">
        <v>161</v>
      </c>
      <c r="F15" s="19">
        <v>154</v>
      </c>
      <c r="G15" s="19">
        <f t="shared" si="0"/>
        <v>315</v>
      </c>
      <c r="H15" s="20">
        <f>G15/G17</f>
        <v>0.636363636363636</v>
      </c>
      <c r="I15" s="27">
        <v>14078.81</v>
      </c>
    </row>
    <row r="16" spans="1:9">
      <c r="A16" s="18"/>
      <c r="B16" s="18"/>
      <c r="C16" s="19">
        <v>69</v>
      </c>
      <c r="D16" s="19">
        <v>70.3</v>
      </c>
      <c r="E16" s="19">
        <v>23</v>
      </c>
      <c r="F16" s="19">
        <v>22</v>
      </c>
      <c r="G16" s="19">
        <f t="shared" si="0"/>
        <v>45</v>
      </c>
      <c r="H16" s="20">
        <f>G16/G17</f>
        <v>0.0909090909090909</v>
      </c>
      <c r="I16" s="27">
        <v>3163.46</v>
      </c>
    </row>
    <row r="17" spans="1:10">
      <c r="A17" s="21"/>
      <c r="B17" s="22"/>
      <c r="C17" s="23" t="s">
        <v>33</v>
      </c>
      <c r="D17" s="23"/>
      <c r="E17" s="24"/>
      <c r="F17" s="24"/>
      <c r="G17" s="24">
        <f>SUM(G14:G16)</f>
        <v>495</v>
      </c>
      <c r="H17" s="24"/>
      <c r="I17" s="24">
        <f>SUM(I14:I16)</f>
        <v>22096.798</v>
      </c>
      <c r="J17" s="28"/>
    </row>
    <row r="18" spans="1:3">
      <c r="A18" s="15"/>
      <c r="B18" s="15"/>
      <c r="C18" s="15"/>
    </row>
    <row r="19" spans="1:10">
      <c r="A19" s="15"/>
      <c r="B19" s="15"/>
      <c r="C19" s="15"/>
      <c r="J19">
        <f>492.54*49+K14</f>
        <v>24226.42</v>
      </c>
    </row>
  </sheetData>
  <mergeCells count="11">
    <mergeCell ref="A1:D1"/>
    <mergeCell ref="B2:D2"/>
    <mergeCell ref="B3:D3"/>
    <mergeCell ref="C4:D4"/>
    <mergeCell ref="C5:D5"/>
    <mergeCell ref="C6:D6"/>
    <mergeCell ref="C7:D7"/>
    <mergeCell ref="C8:D8"/>
    <mergeCell ref="C9:D9"/>
    <mergeCell ref="A2:A9"/>
    <mergeCell ref="B4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shenmingqi</dc:creator>
  <cp:lastModifiedBy>WPS_1719475782</cp:lastModifiedBy>
  <dcterms:created xsi:type="dcterms:W3CDTF">2025-04-09T10:30:00Z</dcterms:created>
  <dcterms:modified xsi:type="dcterms:W3CDTF">2025-04-09T15:05:55Z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9E61CE24F84C452482EB7A86F1EF2246_13</vt:lpwstr>
  </property>
  <property fmtid="{D5CDD505-2E9C-101B-9397-08002B2CF9AE}" pid="3" name="KSOProductBuildVer">
    <vt:lpwstr>2052-12.1.0.20784</vt:lpwstr>
  </property>
</Properties>
</file>